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U:\blpc2021\Documents\Rates\Clean Energy Rider\Draft application\Application\Exhibits\September 30\"/>
    </mc:Choice>
  </mc:AlternateContent>
  <xr:revisionPtr revIDLastSave="0" documentId="13_ncr:1_{0F0A6436-106C-4C5E-B1C1-D29189503BD5}" xr6:coauthVersionLast="47" xr6:coauthVersionMax="47" xr10:uidLastSave="{00000000-0000-0000-0000-000000000000}"/>
  <bookViews>
    <workbookView xWindow="-108" yWindow="-108" windowWidth="23256" windowHeight="12456" tabRatio="855" xr2:uid="{083D31B1-59B8-45E1-B4AD-BE96FE1328EB}"/>
  </bookViews>
  <sheets>
    <sheet name="Revenue Requirement" sheetId="1" r:id="rId1"/>
    <sheet name="Cost of Capital" sheetId="2" r:id="rId2"/>
    <sheet name="Depreciation" sheetId="3" r:id="rId3"/>
    <sheet name="Taxes" sheetId="4" r:id="rId4"/>
    <sheet name="Income Statement" sheetId="11" r:id="rId5"/>
  </sheets>
  <externalReferences>
    <externalReference r:id="rId6"/>
    <externalReference r:id="rId7"/>
  </externalReferences>
  <definedNames>
    <definedName name="\A">'[1]Additions (net of transfers)'!#REF!</definedName>
    <definedName name="__CHG1">'[1]Additions (net of transfers)'!#REF!</definedName>
    <definedName name="__CHG2">'[1]Additions (net of transfers)'!#REF!</definedName>
    <definedName name="__DEP2">'[1]Additions (net of transfers)'!#REF!</definedName>
    <definedName name="__DEP3">'[1]Additions (net of transfers)'!#REF!</definedName>
    <definedName name="__DEP4">'[1]Additions (net of transfers)'!#REF!</definedName>
    <definedName name="__DEP5">'[1]Additions (net of transfers)'!#REF!</definedName>
    <definedName name="__DIS1">'[1]Additions (net of transfers)'!#REF!</definedName>
    <definedName name="__DIS2">'[1]Additions (net of transfers)'!#REF!</definedName>
    <definedName name="__RET1">'[1]Additions (net of transfers)'!#REF!</definedName>
    <definedName name="__RET2">'[1]Additions (net of transfers)'!#REF!</definedName>
    <definedName name="__SCH1">'[1]Additions (net of transfers)'!#REF!</definedName>
    <definedName name="__SCH2">'[1]Additions (net of transfers)'!#REF!</definedName>
    <definedName name="__SCH3">'[1]Additions (net of transfers)'!#REF!</definedName>
    <definedName name="__SCH4">'[1]Additions (net of transfers)'!#REF!</definedName>
    <definedName name="__SCH5">'[1]Additions (net of transfers)'!#REF!</definedName>
    <definedName name="__TFR1">'[1]Additions (net of transfers)'!#REF!</definedName>
    <definedName name="__TFR2">'[1]Additions (net of transfers)'!#REF!</definedName>
    <definedName name="_Fill" hidden="1">'[1]Additions (net of transfers)'!#REF!</definedName>
    <definedName name="_Order1" hidden="1">255</definedName>
    <definedName name="_Order2" hidden="1">255</definedName>
    <definedName name="_Sort" hidden="1">#REF!</definedName>
    <definedName name="ACC">#REF!</definedName>
    <definedName name="DEP">'[1]Additions (net of transfers)'!#REF!</definedName>
    <definedName name="HC">'[1]Additions (net of transfers)'!#REF!</definedName>
    <definedName name="HCD">'[1]Additions (net of transfers)'!#REF!</definedName>
    <definedName name="HCDN">'[1]Additions (net of transfers)'!#REF!</definedName>
    <definedName name="HCN">'[1]Additions (net of transfers)'!#REF!</definedName>
    <definedName name="LSD_D12___BUILDING">'[1]INVESTMENT ALLOWANCE'!#REF!</definedName>
    <definedName name="LSD_D12___EQUIPMENT">'[1]INVESTMENT ALLOWANCE'!#REF!</definedName>
    <definedName name="LSD_D13___BUILDING">'[1]INVESTMENT ALLOWANCE'!#REF!</definedName>
    <definedName name="LSD_D13___EQUIPMENT">'[1]INVESTMENT ALLOWANCE'!#REF!</definedName>
    <definedName name="LSD_D14___D15___BUILDING">'[1]INVESTMENT ALLOWANCE'!#REF!</definedName>
    <definedName name="LSD_D14___D15___EQUIPMENT">'[1]INVESTMENT ALLOWANCE'!#REF!</definedName>
    <definedName name="NvsASD">"V2009-12-31"</definedName>
    <definedName name="NvsAutoDrillOk">"VN"</definedName>
    <definedName name="NvsElapsedTime">0.0000347222157870419</definedName>
    <definedName name="NvsEndTime">40170.5304282407</definedName>
    <definedName name="NvsInstLang">"VENG"</definedName>
    <definedName name="NvsInstSpec">"%"</definedName>
    <definedName name="NvsInstSpec1">","</definedName>
    <definedName name="NvsInstSpec2">","</definedName>
    <definedName name="NvsInstSpec3">","</definedName>
    <definedName name="NvsInstSpec4">","</definedName>
    <definedName name="NvsInstSpec5">","</definedName>
    <definedName name="NvsInstSpec6">","</definedName>
    <definedName name="NvsInstSpec7">","</definedName>
    <definedName name="NvsInstSpec8">","</definedName>
    <definedName name="NvsInstSpec9">","</definedName>
    <definedName name="NvsLayoutType">"M3"</definedName>
    <definedName name="NvsNplSpec">"%,X,RZF.PROJECT_ID.,CZF.."</definedName>
    <definedName name="NvsPanelBusUnit">"VBLPC1"</definedName>
    <definedName name="NvsPanelEffdt">"V1900-01-01"</definedName>
    <definedName name="NvsPanelSetid">"VSHARE"</definedName>
    <definedName name="NvsReqBU">"VBLPC1"</definedName>
    <definedName name="NvsReqBUOnly">"VY"</definedName>
    <definedName name="NvsTransLed">"VN"</definedName>
    <definedName name="NvsTreeASD">"V2009-12-31"</definedName>
    <definedName name="NvsValTbl.ACCOUNT">"GL_ACCOUNT_TBL"</definedName>
    <definedName name="NvsValTbl.DEPTID">"DEPARTMENT_TBL"</definedName>
    <definedName name="NvsValTbl.PRODUCT">"PRODUCT_TBL"</definedName>
    <definedName name="NvsValTbl.PROJECT_ID">"PROJECT"</definedName>
    <definedName name="NvsValTbl.SCENARIO">"BD_SCENARIO_TBL"</definedName>
    <definedName name="O_STK">[2]FUELCOST!#REF!</definedName>
    <definedName name="PRICES">[2]FUELCOST!#REF!</definedName>
    <definedName name="RATE1">'[1]Additions (net of transfers)'!#REF!</definedName>
    <definedName name="RATE2">'[1]Additions (net of transfers)'!#REF!</definedName>
    <definedName name="REC">[2]FUELCOST!#REF!</definedName>
    <definedName name="STK">[2]FUELCOST!#REF!</definedName>
    <definedName name="titl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1" l="1"/>
  <c r="A3" i="4"/>
  <c r="A3" i="3"/>
  <c r="A3" i="2"/>
  <c r="F9" i="3" l="1"/>
  <c r="F8" i="3"/>
  <c r="F7" i="3"/>
  <c r="D8" i="3"/>
  <c r="D7" i="3"/>
  <c r="G36" i="4"/>
  <c r="E7" i="3" l="1"/>
  <c r="E9" i="3" s="1"/>
  <c r="E8" i="3"/>
  <c r="A7" i="3"/>
  <c r="A8" i="3" s="1"/>
  <c r="A2" i="11" l="1"/>
  <c r="A2" i="4"/>
  <c r="A2" i="3"/>
  <c r="A2" i="2"/>
  <c r="H40" i="4"/>
  <c r="H43" i="4" s="1"/>
  <c r="D18" i="1" l="1"/>
  <c r="D10" i="2" l="1"/>
  <c r="D9" i="2" l="1"/>
  <c r="D12" i="2" s="1"/>
  <c r="G8" i="3" l="1"/>
  <c r="D22" i="1"/>
  <c r="G7" i="3" l="1"/>
  <c r="G9" i="3" s="1"/>
  <c r="G13" i="3" l="1"/>
  <c r="G18" i="3" s="1"/>
  <c r="D10" i="1"/>
  <c r="D11" i="1" s="1"/>
  <c r="H11" i="4"/>
  <c r="I11" i="4" l="1"/>
  <c r="H24" i="4"/>
  <c r="H16" i="4"/>
  <c r="D28" i="1"/>
  <c r="B35" i="4"/>
  <c r="B14" i="4"/>
  <c r="B16" i="11"/>
  <c r="B17" i="11" s="1"/>
  <c r="I24" i="4" l="1"/>
  <c r="H28" i="4"/>
  <c r="B17" i="4"/>
  <c r="B33" i="4"/>
  <c r="B36" i="4" s="1"/>
  <c r="I16" i="4"/>
  <c r="B18" i="4" l="1"/>
  <c r="I28" i="4"/>
  <c r="I36" i="4" s="1"/>
  <c r="I40" i="4" s="1"/>
  <c r="I42" i="4" l="1"/>
  <c r="I43" i="4"/>
  <c r="I45" i="4" s="1"/>
  <c r="B24" i="11" s="1"/>
  <c r="D34" i="1" s="1"/>
  <c r="D36" i="1" l="1"/>
  <c r="B40" i="4" l="1"/>
  <c r="B41" i="4" l="1"/>
  <c r="D15" i="1" s="1"/>
  <c r="D20" i="1" s="1"/>
  <c r="B22" i="11"/>
  <c r="D24" i="1" l="1"/>
  <c r="D38" i="1" s="1"/>
  <c r="B10" i="11" l="1"/>
  <c r="B12" i="11" s="1"/>
  <c r="B11" i="4" l="1"/>
  <c r="B20" i="4" s="1"/>
  <c r="B27" i="4" s="1"/>
  <c r="B21" i="11" l="1"/>
  <c r="B25" i="11" s="1"/>
  <c r="B27" i="11" l="1"/>
  <c r="B30" i="11"/>
  <c r="B34" i="11" l="1"/>
</calcChain>
</file>

<file path=xl/sharedStrings.xml><?xml version="1.0" encoding="utf-8"?>
<sst xmlns="http://schemas.openxmlformats.org/spreadsheetml/2006/main" count="106" uniqueCount="85">
  <si>
    <t>Revenue Requirement Analysis</t>
  </si>
  <si>
    <t>Description</t>
  </si>
  <si>
    <t>Year End</t>
  </si>
  <si>
    <t>Less: Customer Contributed Capital</t>
  </si>
  <si>
    <t xml:space="preserve"> Deferred Income Taxes</t>
  </si>
  <si>
    <t xml:space="preserve"> Plus: Working Capital </t>
  </si>
  <si>
    <t xml:space="preserve">     Gross Cash Requirements </t>
  </si>
  <si>
    <t xml:space="preserve"> Total Year End Rate Base </t>
  </si>
  <si>
    <t xml:space="preserve"> Rate of Return </t>
  </si>
  <si>
    <t>Cost of Service:</t>
  </si>
  <si>
    <t>Operation &amp; Maintenance Expense</t>
  </si>
  <si>
    <t>Depreciation</t>
  </si>
  <si>
    <t xml:space="preserve">        Total Cost of Service</t>
  </si>
  <si>
    <t xml:space="preserve">        Total Revenue Requirement</t>
  </si>
  <si>
    <t>Barbados Light &amp; Power</t>
  </si>
  <si>
    <t xml:space="preserve">      Accumulated Deferred Income Tax Liability</t>
  </si>
  <si>
    <t>Taxes</t>
  </si>
  <si>
    <t>Insurance</t>
  </si>
  <si>
    <t xml:space="preserve">   Corporation tax expense</t>
  </si>
  <si>
    <t xml:space="preserve">   Deferred taxes</t>
  </si>
  <si>
    <t xml:space="preserve">   Deferred investment tax credit</t>
  </si>
  <si>
    <t xml:space="preserve">   Deferred manufacturers tax credit</t>
  </si>
  <si>
    <t xml:space="preserve"> Total Net Plant/Asset</t>
  </si>
  <si>
    <t>Authorized Return   (Rate Base * Rate of Return)</t>
  </si>
  <si>
    <t>Capital Structure</t>
  </si>
  <si>
    <t xml:space="preserve">Percent </t>
  </si>
  <si>
    <t>Rate of</t>
  </si>
  <si>
    <t>Rate</t>
  </si>
  <si>
    <t>Capitalization</t>
  </si>
  <si>
    <t>Return</t>
  </si>
  <si>
    <t>Equity</t>
  </si>
  <si>
    <t>Debt</t>
  </si>
  <si>
    <t>Total</t>
  </si>
  <si>
    <t>Electric Utility Plant/Asset in Service</t>
  </si>
  <si>
    <t>Cost</t>
  </si>
  <si>
    <t>Depreciation Rate</t>
  </si>
  <si>
    <t>Depreciation Expense</t>
  </si>
  <si>
    <t xml:space="preserve">CORPORATION TAX COMPUTATION (BDS 000s) </t>
  </si>
  <si>
    <t>FY 2024</t>
  </si>
  <si>
    <t>Profit before taxes per Income Statement</t>
  </si>
  <si>
    <t>ADD:</t>
  </si>
  <si>
    <t>LESS:</t>
  </si>
  <si>
    <t>Deferred Manufacturing tax credit</t>
  </si>
  <si>
    <t>Annual Allowance</t>
  </si>
  <si>
    <t>Manufacturing Allowance</t>
  </si>
  <si>
    <t>Balancing Allowance</t>
  </si>
  <si>
    <t>Adjusted Profit/(Loss)</t>
  </si>
  <si>
    <t>Tax Rate</t>
  </si>
  <si>
    <t>Corporation Tax Payable</t>
  </si>
  <si>
    <t>Per Income Statement</t>
  </si>
  <si>
    <t>CAPITAL ALLOWANCES</t>
  </si>
  <si>
    <t>Year</t>
  </si>
  <si>
    <t>MAN. TAX CREDITS</t>
  </si>
  <si>
    <t>50 % of Cost</t>
  </si>
  <si>
    <t>Tax Depreciation</t>
  </si>
  <si>
    <t>Less Financial Depreciation</t>
  </si>
  <si>
    <t>Deferred Charge for year</t>
  </si>
  <si>
    <t>Deferred Charge Balance</t>
  </si>
  <si>
    <t>Deferred Man Charge for year</t>
  </si>
  <si>
    <t>Deferred Taxes</t>
  </si>
  <si>
    <t>Forecast</t>
  </si>
  <si>
    <t>Revenues</t>
  </si>
  <si>
    <t xml:space="preserve">  Basic Revenue</t>
  </si>
  <si>
    <t>Operating and maintenance expenses</t>
  </si>
  <si>
    <t>Current Portion</t>
  </si>
  <si>
    <t>Deferred Portion</t>
  </si>
  <si>
    <t>Deferred investment tax credit</t>
  </si>
  <si>
    <t>Total expenses</t>
  </si>
  <si>
    <t>Operating Income</t>
  </si>
  <si>
    <t>Finance Costs</t>
  </si>
  <si>
    <t>Net income for the year</t>
  </si>
  <si>
    <t>DEF. MAN. TAX CREDITS</t>
  </si>
  <si>
    <t>Income Statement</t>
  </si>
  <si>
    <t>DER Aggregation and Control</t>
  </si>
  <si>
    <t>Furniture &amp; Equipment</t>
  </si>
  <si>
    <t>Capital Cost</t>
  </si>
  <si>
    <t>AFUDC</t>
  </si>
  <si>
    <t>Deferred Manu. Credit</t>
  </si>
  <si>
    <t>Start Date</t>
  </si>
  <si>
    <t>CAP Date</t>
  </si>
  <si>
    <t>No. of Months</t>
  </si>
  <si>
    <t>Distributed Energy Resources Aggregation &amp; Control Platform</t>
  </si>
  <si>
    <t>Clean Energy Transistion Plan Project 1</t>
  </si>
  <si>
    <t>NOTE: See Exhibit BESS-1 for detail calculation of Cost of Capital</t>
  </si>
  <si>
    <t>Deferred Tax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</si>
</sst>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_(* #,##0.0000_);_(* \(#,##0.0000\);_(* &quot;-&quot;??_);_(@_)"/>
    <numFmt numFmtId="167" formatCode="0.000%"/>
    <numFmt numFmtId="168" formatCode="0_);\(0\)"/>
    <numFmt numFmtId="169" formatCode="0.0000%"/>
    <numFmt numFmtId="170" formatCode="0.00000%"/>
    <numFmt numFmtId="171" formatCode="[$-409]d\-mmm\-yy;@"/>
    <numFmt numFmtId="172" formatCode="mmmm\ d\,\ yyyy"/>
    <numFmt numFmtId="173" formatCode="_-* #,##0.00_-;\-* #,##0.00_-;_-* &quot;-&quot;??_-;_-@_-"/>
    <numFmt numFmtId="174" formatCode="_-* #,##0_-;\-* #,##0_-;_-* &quot;-&quot;??_-;_-@_-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b/>
      <i/>
      <sz val="11"/>
      <name val="Arial"/>
      <family val="2"/>
    </font>
    <font>
      <b/>
      <i/>
      <u/>
      <sz val="11"/>
      <name val="Arial"/>
      <family val="2"/>
    </font>
    <font>
      <i/>
      <u/>
      <sz val="11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name val="Times New Roman"/>
      <family val="1"/>
    </font>
    <font>
      <sz val="8"/>
      <name val="Calibri"/>
      <family val="2"/>
      <scheme val="minor"/>
    </font>
    <font>
      <sz val="10"/>
      <name val="Arial MT"/>
    </font>
    <font>
      <b/>
      <sz val="11"/>
      <name val="Arial Narrow"/>
      <family val="2"/>
    </font>
    <font>
      <sz val="11"/>
      <color theme="1"/>
      <name val="Arial"/>
      <family val="2"/>
    </font>
    <font>
      <b/>
      <u/>
      <sz val="11"/>
      <color theme="1"/>
      <name val="Arial"/>
      <family val="2"/>
    </font>
    <font>
      <b/>
      <u/>
      <sz val="11"/>
      <color theme="1"/>
      <name val="Calibri"/>
      <family val="2"/>
      <scheme val="minor"/>
    </font>
    <font>
      <sz val="11"/>
      <name val="Arial Narrow"/>
      <family val="2"/>
    </font>
    <font>
      <sz val="10"/>
      <name val="Helv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2" fontId="9" fillId="0" borderId="0"/>
    <xf numFmtId="0" fontId="10" fillId="0" borderId="0"/>
    <xf numFmtId="9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39" fontId="15" fillId="0" borderId="0"/>
    <xf numFmtId="43" fontId="1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1" fillId="0" borderId="0"/>
    <xf numFmtId="173" fontId="1" fillId="0" borderId="0" applyFont="0" applyFill="0" applyBorder="0" applyAlignment="0" applyProtection="0"/>
  </cellStyleXfs>
  <cellXfs count="90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2" fillId="0" borderId="0" xfId="0" applyFont="1"/>
    <xf numFmtId="164" fontId="4" fillId="0" borderId="0" xfId="2" applyNumberFormat="1" applyFont="1" applyFill="1"/>
    <xf numFmtId="164" fontId="4" fillId="0" borderId="0" xfId="2" applyNumberFormat="1" applyFont="1" applyFill="1" applyAlignment="1">
      <alignment horizontal="center"/>
    </xf>
    <xf numFmtId="42" fontId="4" fillId="0" borderId="0" xfId="4" applyFont="1"/>
    <xf numFmtId="41" fontId="4" fillId="0" borderId="1" xfId="2" applyNumberFormat="1" applyFont="1" applyFill="1" applyBorder="1"/>
    <xf numFmtId="41" fontId="4" fillId="0" borderId="0" xfId="2" applyNumberFormat="1" applyFont="1" applyFill="1" applyAlignment="1">
      <alignment horizontal="center"/>
    </xf>
    <xf numFmtId="41" fontId="4" fillId="0" borderId="0" xfId="2" applyNumberFormat="1" applyFont="1" applyFill="1"/>
    <xf numFmtId="41" fontId="0" fillId="0" borderId="0" xfId="0" applyNumberFormat="1"/>
    <xf numFmtId="41" fontId="4" fillId="0" borderId="0" xfId="0" applyNumberFormat="1" applyFont="1"/>
    <xf numFmtId="0" fontId="4" fillId="0" borderId="0" xfId="0" applyFont="1" applyAlignment="1" applyProtection="1">
      <alignment horizontal="left" vertical="top"/>
      <protection locked="0"/>
    </xf>
    <xf numFmtId="41" fontId="4" fillId="0" borderId="0" xfId="2" applyNumberFormat="1" applyFont="1" applyFill="1" applyBorder="1"/>
    <xf numFmtId="41" fontId="4" fillId="0" borderId="0" xfId="2" applyNumberFormat="1" applyFont="1" applyFill="1" applyBorder="1" applyAlignment="1">
      <alignment horizontal="center"/>
    </xf>
    <xf numFmtId="164" fontId="4" fillId="0" borderId="2" xfId="0" applyNumberFormat="1" applyFont="1" applyBorder="1"/>
    <xf numFmtId="164" fontId="4" fillId="0" borderId="0" xfId="0" applyNumberFormat="1" applyFont="1"/>
    <xf numFmtId="42" fontId="2" fillId="0" borderId="0" xfId="4" applyFont="1"/>
    <xf numFmtId="10" fontId="4" fillId="0" borderId="0" xfId="0" applyNumberFormat="1" applyFont="1"/>
    <xf numFmtId="0" fontId="6" fillId="0" borderId="0" xfId="4" applyNumberFormat="1" applyFont="1"/>
    <xf numFmtId="0" fontId="4" fillId="0" borderId="0" xfId="4" applyNumberFormat="1" applyFont="1"/>
    <xf numFmtId="10" fontId="2" fillId="0" borderId="0" xfId="0" applyNumberFormat="1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7" fillId="0" borderId="0" xfId="0" applyFont="1"/>
    <xf numFmtId="0" fontId="8" fillId="0" borderId="0" xfId="0" applyFont="1"/>
    <xf numFmtId="0" fontId="4" fillId="0" borderId="0" xfId="3" applyNumberFormat="1" applyFont="1" applyFill="1"/>
    <xf numFmtId="165" fontId="4" fillId="0" borderId="0" xfId="2" applyNumberFormat="1" applyFont="1" applyFill="1"/>
    <xf numFmtId="41" fontId="4" fillId="0" borderId="0" xfId="1" applyNumberFormat="1" applyFont="1" applyFill="1"/>
    <xf numFmtId="43" fontId="4" fillId="0" borderId="0" xfId="3" applyNumberFormat="1" applyFont="1" applyFill="1"/>
    <xf numFmtId="43" fontId="0" fillId="0" borderId="0" xfId="0" applyNumberFormat="1"/>
    <xf numFmtId="166" fontId="0" fillId="0" borderId="0" xfId="0" applyNumberFormat="1"/>
    <xf numFmtId="167" fontId="4" fillId="0" borderId="0" xfId="3" applyNumberFormat="1" applyFont="1" applyFill="1" applyAlignment="1">
      <alignment horizontal="center"/>
    </xf>
    <xf numFmtId="41" fontId="4" fillId="0" borderId="0" xfId="4" applyNumberFormat="1" applyFont="1"/>
    <xf numFmtId="41" fontId="4" fillId="0" borderId="0" xfId="1" applyNumberFormat="1" applyFont="1" applyFill="1" applyBorder="1"/>
    <xf numFmtId="0" fontId="6" fillId="0" borderId="0" xfId="0" applyFont="1" applyAlignment="1">
      <alignment horizontal="left"/>
    </xf>
    <xf numFmtId="0" fontId="6" fillId="0" borderId="0" xfId="0" applyFont="1"/>
    <xf numFmtId="0" fontId="2" fillId="0" borderId="0" xfId="0" applyFont="1" applyAlignment="1">
      <alignment horizontal="left"/>
    </xf>
    <xf numFmtId="164" fontId="4" fillId="0" borderId="0" xfId="2" applyNumberFormat="1" applyFont="1" applyFill="1" applyBorder="1"/>
    <xf numFmtId="0" fontId="4" fillId="0" borderId="0" xfId="0" applyFont="1" applyAlignment="1">
      <alignment horizontal="center"/>
    </xf>
    <xf numFmtId="39" fontId="4" fillId="0" borderId="0" xfId="5" applyNumberFormat="1" applyFont="1" applyAlignment="1">
      <alignment horizontal="left"/>
    </xf>
    <xf numFmtId="164" fontId="2" fillId="0" borderId="3" xfId="0" applyNumberFormat="1" applyFont="1" applyBorder="1"/>
    <xf numFmtId="164" fontId="2" fillId="0" borderId="1" xfId="0" applyNumberFormat="1" applyFont="1" applyBorder="1"/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0" fontId="4" fillId="0" borderId="0" xfId="6" applyNumberFormat="1" applyFont="1" applyAlignment="1">
      <alignment horizontal="center"/>
    </xf>
    <xf numFmtId="10" fontId="4" fillId="0" borderId="2" xfId="0" applyNumberFormat="1" applyFont="1" applyBorder="1" applyAlignment="1">
      <alignment horizontal="center"/>
    </xf>
    <xf numFmtId="10" fontId="0" fillId="0" borderId="0" xfId="3" applyNumberFormat="1" applyFont="1"/>
    <xf numFmtId="43" fontId="0" fillId="0" borderId="0" xfId="1" applyFont="1"/>
    <xf numFmtId="43" fontId="0" fillId="0" borderId="4" xfId="0" applyNumberFormat="1" applyBorder="1"/>
    <xf numFmtId="10" fontId="0" fillId="0" borderId="0" xfId="0" applyNumberFormat="1"/>
    <xf numFmtId="0" fontId="12" fillId="0" borderId="0" xfId="0" applyFont="1"/>
    <xf numFmtId="39" fontId="11" fillId="0" borderId="0" xfId="9" applyFont="1"/>
    <xf numFmtId="0" fontId="16" fillId="0" borderId="1" xfId="10" applyNumberFormat="1" applyFont="1" applyFill="1" applyBorder="1" applyAlignment="1">
      <alignment horizontal="center" vertical="center" wrapText="1"/>
    </xf>
    <xf numFmtId="39" fontId="15" fillId="0" borderId="0" xfId="9"/>
    <xf numFmtId="39" fontId="17" fillId="0" borderId="0" xfId="9" applyFont="1"/>
    <xf numFmtId="39" fontId="18" fillId="0" borderId="0" xfId="9" applyFont="1"/>
    <xf numFmtId="0" fontId="13" fillId="2" borderId="6" xfId="11" applyFont="1" applyFill="1" applyBorder="1" applyAlignment="1">
      <alignment horizontal="center" vertical="center"/>
    </xf>
    <xf numFmtId="168" fontId="13" fillId="2" borderId="6" xfId="11" quotePrefix="1" applyNumberFormat="1" applyFont="1" applyFill="1" applyBorder="1" applyAlignment="1">
      <alignment horizontal="center" vertical="center"/>
    </xf>
    <xf numFmtId="0" fontId="13" fillId="0" borderId="0" xfId="11" applyFont="1" applyAlignment="1">
      <alignment vertical="center"/>
    </xf>
    <xf numFmtId="10" fontId="13" fillId="0" borderId="0" xfId="13" applyNumberFormat="1" applyFont="1" applyFill="1" applyAlignment="1">
      <alignment vertical="center"/>
    </xf>
    <xf numFmtId="37" fontId="13" fillId="0" borderId="0" xfId="12" applyNumberFormat="1" applyFont="1" applyFill="1" applyAlignment="1">
      <alignment vertical="center"/>
    </xf>
    <xf numFmtId="165" fontId="13" fillId="0" borderId="0" xfId="12" applyNumberFormat="1" applyFont="1" applyFill="1" applyAlignment="1">
      <alignment vertical="center"/>
    </xf>
    <xf numFmtId="39" fontId="15" fillId="0" borderId="5" xfId="9" applyBorder="1"/>
    <xf numFmtId="169" fontId="0" fillId="0" borderId="0" xfId="13" applyNumberFormat="1" applyFont="1"/>
    <xf numFmtId="0" fontId="19" fillId="0" borderId="0" xfId="0" applyFont="1"/>
    <xf numFmtId="37" fontId="13" fillId="0" borderId="4" xfId="12" applyNumberFormat="1" applyFont="1" applyFill="1" applyBorder="1" applyAlignment="1">
      <alignment vertical="center"/>
    </xf>
    <xf numFmtId="37" fontId="20" fillId="0" borderId="0" xfId="0" applyNumberFormat="1" applyFont="1" applyAlignment="1">
      <alignment horizontal="center" vertical="center"/>
    </xf>
    <xf numFmtId="172" fontId="16" fillId="0" borderId="0" xfId="14" applyNumberFormat="1" applyFont="1" applyAlignment="1">
      <alignment horizontal="center" vertical="center"/>
    </xf>
    <xf numFmtId="0" fontId="20" fillId="0" borderId="0" xfId="0" applyFont="1" applyAlignment="1">
      <alignment vertical="center"/>
    </xf>
    <xf numFmtId="0" fontId="0" fillId="0" borderId="1" xfId="0" applyBorder="1"/>
    <xf numFmtId="41" fontId="0" fillId="0" borderId="5" xfId="0" applyNumberFormat="1" applyBorder="1"/>
    <xf numFmtId="173" fontId="20" fillId="0" borderId="0" xfId="15" applyFont="1" applyFill="1" applyBorder="1" applyAlignment="1">
      <alignment horizontal="right" vertical="center"/>
    </xf>
    <xf numFmtId="41" fontId="12" fillId="0" borderId="5" xfId="0" applyNumberFormat="1" applyFont="1" applyBorder="1"/>
    <xf numFmtId="41" fontId="0" fillId="0" borderId="4" xfId="0" applyNumberFormat="1" applyBorder="1"/>
    <xf numFmtId="41" fontId="0" fillId="0" borderId="1" xfId="0" applyNumberFormat="1" applyBorder="1"/>
    <xf numFmtId="174" fontId="2" fillId="0" borderId="2" xfId="15" applyNumberFormat="1" applyFont="1" applyFill="1" applyBorder="1"/>
    <xf numFmtId="39" fontId="0" fillId="0" borderId="0" xfId="0" applyNumberFormat="1"/>
    <xf numFmtId="10" fontId="2" fillId="0" borderId="0" xfId="0" applyNumberFormat="1" applyFont="1"/>
    <xf numFmtId="164" fontId="2" fillId="0" borderId="0" xfId="2" applyNumberFormat="1" applyFont="1" applyAlignment="1">
      <alignment horizontal="center"/>
    </xf>
    <xf numFmtId="37" fontId="13" fillId="0" borderId="5" xfId="12" applyNumberFormat="1" applyFont="1" applyFill="1" applyBorder="1" applyAlignment="1">
      <alignment vertical="center"/>
    </xf>
    <xf numFmtId="164" fontId="4" fillId="0" borderId="1" xfId="2" applyNumberFormat="1" applyFont="1" applyFill="1" applyBorder="1"/>
    <xf numFmtId="0" fontId="19" fillId="0" borderId="0" xfId="0" applyFont="1" applyAlignment="1">
      <alignment horizontal="center" vertical="center"/>
    </xf>
    <xf numFmtId="170" fontId="0" fillId="0" borderId="0" xfId="13" applyNumberFormat="1" applyFont="1" applyFill="1"/>
    <xf numFmtId="171" fontId="22" fillId="0" borderId="0" xfId="0" applyNumberFormat="1" applyFont="1" applyAlignment="1">
      <alignment horizontal="center" vertical="center"/>
    </xf>
    <xf numFmtId="43" fontId="23" fillId="0" borderId="0" xfId="1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1" fillId="0" borderId="0" xfId="0" applyFont="1" applyAlignment="1">
      <alignment horizontal="center"/>
    </xf>
  </cellXfs>
  <cellStyles count="16">
    <cellStyle name="Comma" xfId="1" builtinId="3"/>
    <cellStyle name="Comma 2" xfId="7" xr:uid="{C549E61E-8A52-4C20-8F57-CBFB99515EB2}"/>
    <cellStyle name="Comma 3" xfId="12" xr:uid="{D05DB49F-A67E-4D88-8EBE-446DE5C323E1}"/>
    <cellStyle name="Comma 4" xfId="10" xr:uid="{42E07785-1738-4539-8116-919AB9E222A3}"/>
    <cellStyle name="Comma 5" xfId="15" xr:uid="{B2059CBC-013E-4B9C-ADF9-DE2901E1007F}"/>
    <cellStyle name="Currency" xfId="2" builtinId="4"/>
    <cellStyle name="Normal" xfId="0" builtinId="0"/>
    <cellStyle name="Normal 3" xfId="8" xr:uid="{EECC9D74-C055-4946-9981-61F0540BC381}"/>
    <cellStyle name="Normal 4" xfId="9" xr:uid="{0E87E9B6-5422-492F-A571-67EF083DB593}"/>
    <cellStyle name="Normal_BalSht2" xfId="5" xr:uid="{677F4597-2252-4D23-9EF5-0646EB8FC844}"/>
    <cellStyle name="Normal_FIN&amp;STAT-APR 2010" xfId="14" xr:uid="{8EF66E66-42D9-498C-97C6-782A58F3C989}"/>
    <cellStyle name="Normal_Manufallowance_2008" xfId="11" xr:uid="{4CDFF4AD-F883-498F-924C-02019BFF6015}"/>
    <cellStyle name="Normal_Rev Req Analysis_Rev1" xfId="4" xr:uid="{74763127-A91C-4ED8-898F-1405367FB86D}"/>
    <cellStyle name="Percent" xfId="3" builtinId="5"/>
    <cellStyle name="Percent 10 2" xfId="6" xr:uid="{0E402A0F-60D5-4E65-BE79-1764FA331DD2}"/>
    <cellStyle name="Percent 2" xfId="13" xr:uid="{37634002-7434-4B92-BEB2-4114A1FF682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UDIT\FINAL\TAX\investment%20tax%20credit%201979-2007_Revised%20Feb%2019,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uel\Under(Over)%20Recovery\FUEL-UNDER(OVER)%20RECOVERY%20200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dditions (net of transfers)"/>
      <sheetName val="INVESTMENT ALLOWANCE"/>
      <sheetName val="tax credits revised"/>
      <sheetName val="tax credits (original)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2"/>
      <sheetName val="Sheet1"/>
      <sheetName val="FUELCOST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9CEE19-71A2-40CC-A4D8-2DB9C2C8C3BD}">
  <dimension ref="A1:J41"/>
  <sheetViews>
    <sheetView tabSelected="1" workbookViewId="0">
      <selection activeCell="H10" sqref="H10"/>
    </sheetView>
  </sheetViews>
  <sheetFormatPr defaultRowHeight="14.4"/>
  <cols>
    <col min="1" max="1" width="1.88671875" customWidth="1"/>
    <col min="2" max="2" width="62" bestFit="1" customWidth="1"/>
    <col min="3" max="3" width="3.21875" customWidth="1"/>
    <col min="4" max="4" width="13.33203125" bestFit="1" customWidth="1"/>
    <col min="5" max="5" width="1.44140625" customWidth="1"/>
    <col min="6" max="6" width="3.6640625" customWidth="1"/>
    <col min="7" max="7" width="22.109375" bestFit="1" customWidth="1"/>
    <col min="8" max="8" width="13.33203125" bestFit="1" customWidth="1"/>
    <col min="9" max="9" width="15.33203125" bestFit="1" customWidth="1"/>
  </cols>
  <sheetData>
    <row r="1" spans="1:6">
      <c r="A1" s="87" t="s">
        <v>14</v>
      </c>
      <c r="B1" s="87"/>
      <c r="C1" s="87"/>
      <c r="D1" s="87"/>
      <c r="E1" s="87"/>
      <c r="F1" s="87"/>
    </row>
    <row r="2" spans="1:6">
      <c r="A2" s="87" t="s">
        <v>82</v>
      </c>
      <c r="B2" s="87"/>
      <c r="C2" s="87"/>
      <c r="D2" s="87"/>
      <c r="E2" s="87"/>
      <c r="F2" s="87"/>
    </row>
    <row r="3" spans="1:6">
      <c r="A3" s="87" t="s">
        <v>81</v>
      </c>
      <c r="B3" s="87"/>
      <c r="C3" s="87"/>
      <c r="D3" s="87"/>
      <c r="E3" s="87"/>
      <c r="F3" s="87"/>
    </row>
    <row r="4" spans="1:6">
      <c r="A4" s="87" t="s">
        <v>0</v>
      </c>
      <c r="B4" s="87"/>
      <c r="C4" s="87"/>
      <c r="D4" s="87"/>
      <c r="E4" s="87"/>
      <c r="F4" s="87"/>
    </row>
    <row r="5" spans="1:6">
      <c r="A5" s="88"/>
      <c r="B5" s="88"/>
      <c r="C5" s="88"/>
      <c r="D5" s="88"/>
      <c r="E5" s="88"/>
      <c r="F5" s="88"/>
    </row>
    <row r="6" spans="1:6">
      <c r="A6" s="88"/>
      <c r="B6" s="88"/>
      <c r="C6" s="88"/>
      <c r="D6" s="88"/>
      <c r="E6" s="88"/>
      <c r="F6" s="88"/>
    </row>
    <row r="7" spans="1:6">
      <c r="A7" s="2"/>
      <c r="B7" s="2"/>
      <c r="C7" s="2"/>
      <c r="D7" s="1">
        <v>2024</v>
      </c>
      <c r="E7" s="1"/>
      <c r="F7" s="2"/>
    </row>
    <row r="8" spans="1:6">
      <c r="A8" s="3"/>
      <c r="B8" s="4" t="s">
        <v>1</v>
      </c>
      <c r="C8" s="3"/>
      <c r="D8" s="4" t="s">
        <v>2</v>
      </c>
      <c r="E8" s="4"/>
      <c r="F8" s="3"/>
    </row>
    <row r="9" spans="1:6">
      <c r="A9" s="3"/>
      <c r="B9" s="5" t="s">
        <v>33</v>
      </c>
      <c r="C9" s="3"/>
      <c r="D9" s="3"/>
      <c r="E9" s="3"/>
      <c r="F9" s="3"/>
    </row>
    <row r="10" spans="1:6">
      <c r="A10" s="3"/>
      <c r="B10" s="3" t="s">
        <v>73</v>
      </c>
      <c r="C10" s="3"/>
      <c r="D10" s="82">
        <f>Depreciation!G9</f>
        <v>1172943.4985446667</v>
      </c>
      <c r="E10" s="7"/>
    </row>
    <row r="11" spans="1:6">
      <c r="A11" s="3"/>
      <c r="B11" s="8" t="s">
        <v>22</v>
      </c>
      <c r="C11" s="8"/>
      <c r="D11" s="11">
        <f>SUM(D10:D10)</f>
        <v>1172943.4985446667</v>
      </c>
      <c r="E11" s="10"/>
      <c r="F11" s="12"/>
    </row>
    <row r="12" spans="1:6">
      <c r="A12" s="3"/>
      <c r="B12" s="8"/>
      <c r="C12" s="8"/>
      <c r="D12" s="11"/>
      <c r="E12" s="10"/>
      <c r="F12" s="12"/>
    </row>
    <row r="13" spans="1:6">
      <c r="A13" s="3"/>
      <c r="B13" s="14" t="s">
        <v>3</v>
      </c>
      <c r="C13" s="8"/>
      <c r="D13" s="11"/>
      <c r="E13" s="10"/>
      <c r="F13" s="12"/>
    </row>
    <row r="14" spans="1:6">
      <c r="A14" s="3"/>
      <c r="B14" s="14" t="s">
        <v>4</v>
      </c>
      <c r="C14" s="8"/>
      <c r="D14" s="11"/>
      <c r="E14" s="10"/>
      <c r="F14" s="12"/>
    </row>
    <row r="15" spans="1:6">
      <c r="A15" s="3"/>
      <c r="B15" s="41" t="s">
        <v>15</v>
      </c>
      <c r="C15" s="8"/>
      <c r="D15" s="15">
        <f>-Taxes!B41</f>
        <v>-2100.7618949155608</v>
      </c>
      <c r="E15" s="16"/>
      <c r="F15" s="12"/>
    </row>
    <row r="16" spans="1:6">
      <c r="A16" s="3"/>
      <c r="B16" s="8"/>
      <c r="C16" s="8"/>
      <c r="D16" s="13"/>
      <c r="E16" s="13"/>
      <c r="F16" s="13"/>
    </row>
    <row r="17" spans="1:10">
      <c r="A17" s="3"/>
      <c r="B17" s="8" t="s">
        <v>5</v>
      </c>
      <c r="C17" s="8"/>
      <c r="D17" s="13"/>
      <c r="E17" s="13"/>
      <c r="F17" s="13"/>
    </row>
    <row r="18" spans="1:10">
      <c r="A18" s="3"/>
      <c r="B18" s="8" t="s">
        <v>6</v>
      </c>
      <c r="C18" s="8"/>
      <c r="D18" s="11">
        <f>(D27+D29)*12.5%</f>
        <v>0</v>
      </c>
      <c r="E18" s="11"/>
      <c r="F18" s="13"/>
    </row>
    <row r="19" spans="1:10">
      <c r="A19" s="3"/>
      <c r="B19" s="8"/>
      <c r="C19" s="8"/>
      <c r="D19" s="13"/>
      <c r="E19" s="13"/>
      <c r="F19" s="13"/>
    </row>
    <row r="20" spans="1:10" ht="15" thickBot="1">
      <c r="A20" s="3"/>
      <c r="B20" s="8" t="s">
        <v>7</v>
      </c>
      <c r="C20" s="8"/>
      <c r="D20" s="17">
        <f>SUM(D11:D18)</f>
        <v>1170842.7366497512</v>
      </c>
      <c r="E20" s="18"/>
      <c r="F20" s="18"/>
    </row>
    <row r="21" spans="1:10" ht="15" thickTop="1">
      <c r="A21" s="3"/>
      <c r="B21" s="8"/>
      <c r="C21" s="8"/>
      <c r="D21" s="3"/>
      <c r="E21" s="3"/>
      <c r="F21" s="3"/>
    </row>
    <row r="22" spans="1:10">
      <c r="A22" s="3"/>
      <c r="B22" s="19" t="s">
        <v>8</v>
      </c>
      <c r="C22" s="8"/>
      <c r="D22" s="79">
        <f>'Cost of Capital'!D12</f>
        <v>9.1399999999999995E-2</v>
      </c>
      <c r="E22" s="3"/>
      <c r="F22" s="3"/>
    </row>
    <row r="23" spans="1:10">
      <c r="A23" s="3"/>
      <c r="B23" s="3"/>
      <c r="C23" s="3"/>
      <c r="D23" s="3"/>
      <c r="E23" s="3"/>
      <c r="F23" s="3"/>
    </row>
    <row r="24" spans="1:10">
      <c r="A24" s="3"/>
      <c r="B24" s="21" t="s">
        <v>23</v>
      </c>
      <c r="C24" s="22"/>
      <c r="D24" s="80">
        <f>D22*D20</f>
        <v>107015.02612978725</v>
      </c>
      <c r="E24" s="23"/>
      <c r="F24" s="24"/>
    </row>
    <row r="25" spans="1:10">
      <c r="A25" s="3"/>
      <c r="B25" s="21"/>
      <c r="C25" s="22"/>
      <c r="D25" s="3"/>
      <c r="E25" s="3"/>
      <c r="F25" s="3"/>
    </row>
    <row r="26" spans="1:10">
      <c r="A26" s="3"/>
      <c r="B26" s="25" t="s">
        <v>9</v>
      </c>
      <c r="C26" s="26"/>
      <c r="D26" s="3"/>
      <c r="E26" s="3"/>
      <c r="F26" s="3"/>
    </row>
    <row r="27" spans="1:10">
      <c r="A27" s="3"/>
      <c r="B27" s="3" t="s">
        <v>10</v>
      </c>
      <c r="C27" s="3"/>
      <c r="D27" s="6">
        <v>0</v>
      </c>
      <c r="E27" s="6"/>
      <c r="F27" s="13"/>
    </row>
    <row r="28" spans="1:10">
      <c r="A28" s="3"/>
      <c r="B28" s="3" t="s">
        <v>11</v>
      </c>
      <c r="C28" s="3"/>
      <c r="D28" s="11">
        <f>Depreciation!G18</f>
        <v>56683.32723604147</v>
      </c>
      <c r="E28" s="11"/>
      <c r="F28" s="13"/>
    </row>
    <row r="29" spans="1:10">
      <c r="A29" s="3"/>
      <c r="B29" s="3" t="s">
        <v>17</v>
      </c>
      <c r="C29" s="27"/>
      <c r="D29" s="28">
        <v>0</v>
      </c>
      <c r="E29" s="11"/>
      <c r="F29" s="29"/>
      <c r="G29" s="30"/>
      <c r="H29" s="31"/>
      <c r="I29" s="31"/>
      <c r="J29" s="32"/>
    </row>
    <row r="30" spans="1:10">
      <c r="A30" s="3"/>
      <c r="B30" s="3" t="s">
        <v>16</v>
      </c>
      <c r="C30" s="27"/>
      <c r="D30" s="28"/>
      <c r="E30" s="11"/>
      <c r="F30" s="29"/>
      <c r="G30" s="30"/>
      <c r="H30" s="31"/>
      <c r="I30" s="31"/>
      <c r="J30" s="32"/>
    </row>
    <row r="31" spans="1:10">
      <c r="A31" s="3"/>
      <c r="B31" s="3" t="s">
        <v>18</v>
      </c>
      <c r="C31" s="33"/>
      <c r="D31" s="11">
        <v>0</v>
      </c>
      <c r="E31" s="11"/>
      <c r="F31" s="29"/>
      <c r="G31" s="78"/>
      <c r="H31" s="31"/>
    </row>
    <row r="32" spans="1:10">
      <c r="A32" s="3"/>
      <c r="B32" s="3" t="s">
        <v>19</v>
      </c>
      <c r="C32" s="33"/>
      <c r="D32" s="11">
        <v>2100.7618949155608</v>
      </c>
      <c r="E32" s="11"/>
      <c r="F32" s="29"/>
      <c r="G32" s="12"/>
      <c r="H32" s="31"/>
    </row>
    <row r="33" spans="1:6">
      <c r="A33" s="3"/>
      <c r="B33" s="3" t="s">
        <v>20</v>
      </c>
      <c r="C33" s="33"/>
      <c r="D33" s="11">
        <v>0</v>
      </c>
      <c r="E33" s="11"/>
      <c r="F33" s="29"/>
    </row>
    <row r="34" spans="1:6">
      <c r="A34" s="3"/>
      <c r="B34" s="3" t="s">
        <v>21</v>
      </c>
      <c r="C34" s="3"/>
      <c r="D34" s="11">
        <f>'Income Statement'!B24</f>
        <v>1629.6540554283538</v>
      </c>
      <c r="E34" s="11"/>
      <c r="F34" s="34"/>
    </row>
    <row r="35" spans="1:6">
      <c r="A35" s="3"/>
      <c r="B35" s="3"/>
      <c r="C35" s="3"/>
      <c r="D35" s="9"/>
      <c r="E35" s="34"/>
      <c r="F35" s="35"/>
    </row>
    <row r="36" spans="1:6">
      <c r="A36" s="3"/>
      <c r="B36" s="36" t="s">
        <v>12</v>
      </c>
      <c r="C36" s="3"/>
      <c r="D36" s="43">
        <f>SUM(D27:D34)</f>
        <v>60413.743186385385</v>
      </c>
      <c r="E36" s="35"/>
      <c r="F36" s="35"/>
    </row>
    <row r="37" spans="1:6">
      <c r="A37" s="3"/>
      <c r="B37" s="37"/>
      <c r="C37" s="3"/>
      <c r="D37" s="3"/>
      <c r="E37" s="35"/>
      <c r="F37" s="35"/>
    </row>
    <row r="38" spans="1:6" ht="15" thickBot="1">
      <c r="A38" s="3"/>
      <c r="B38" s="38" t="s">
        <v>13</v>
      </c>
      <c r="C38" s="3"/>
      <c r="D38" s="42">
        <f>D36+D24</f>
        <v>167428.76931617263</v>
      </c>
      <c r="E38" s="39"/>
      <c r="F38" s="39"/>
    </row>
    <row r="39" spans="1:6" ht="15" thickTop="1">
      <c r="A39" s="3"/>
      <c r="B39" s="1"/>
      <c r="C39" s="3"/>
      <c r="D39" s="39"/>
      <c r="E39" s="39"/>
      <c r="F39" s="39"/>
    </row>
    <row r="40" spans="1:6">
      <c r="A40" s="3"/>
      <c r="B40" s="87"/>
      <c r="C40" s="87"/>
      <c r="D40" s="87"/>
      <c r="E40" s="1"/>
      <c r="F40" s="3"/>
    </row>
    <row r="41" spans="1:6">
      <c r="A41" s="3"/>
      <c r="B41" s="3"/>
      <c r="C41" s="3"/>
      <c r="D41" s="3"/>
      <c r="E41" s="3"/>
      <c r="F41" s="3"/>
    </row>
  </sheetData>
  <mergeCells count="7">
    <mergeCell ref="B40:D40"/>
    <mergeCell ref="A1:F1"/>
    <mergeCell ref="A2:F2"/>
    <mergeCell ref="A3:F3"/>
    <mergeCell ref="A4:F4"/>
    <mergeCell ref="A5:F5"/>
    <mergeCell ref="A6:F6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222881-DFF5-4A56-B113-C9A2B8E6B90F}">
  <dimension ref="A1:F15"/>
  <sheetViews>
    <sheetView workbookViewId="0">
      <selection activeCell="G14" sqref="G14"/>
    </sheetView>
  </sheetViews>
  <sheetFormatPr defaultRowHeight="14.4"/>
  <cols>
    <col min="1" max="1" width="26.77734375" customWidth="1"/>
    <col min="2" max="2" width="9.77734375" customWidth="1"/>
    <col min="3" max="3" width="15.77734375" bestFit="1" customWidth="1"/>
    <col min="4" max="4" width="9.77734375" customWidth="1"/>
    <col min="5" max="5" width="14.6640625" bestFit="1" customWidth="1"/>
    <col min="6" max="6" width="13.88671875" bestFit="1" customWidth="1"/>
    <col min="7" max="7" width="12.77734375" customWidth="1"/>
  </cols>
  <sheetData>
    <row r="1" spans="1:6">
      <c r="A1" s="87" t="s">
        <v>14</v>
      </c>
      <c r="B1" s="87"/>
      <c r="C1" s="87"/>
      <c r="D1" s="87"/>
      <c r="E1" s="87"/>
      <c r="F1" s="87"/>
    </row>
    <row r="2" spans="1:6">
      <c r="A2" s="87" t="str">
        <f>'Revenue Requirement'!A2</f>
        <v>Clean Energy Transistion Plan Project 1</v>
      </c>
      <c r="B2" s="87"/>
      <c r="C2" s="87"/>
      <c r="D2" s="87"/>
      <c r="E2" s="87"/>
      <c r="F2" s="87"/>
    </row>
    <row r="3" spans="1:6">
      <c r="A3" s="87" t="str">
        <f>'Revenue Requirement'!A3</f>
        <v>Distributed Energy Resources Aggregation &amp; Control Platform</v>
      </c>
      <c r="B3" s="87"/>
      <c r="C3" s="87"/>
      <c r="D3" s="87"/>
      <c r="E3" s="87"/>
      <c r="F3" s="87"/>
    </row>
    <row r="4" spans="1:6">
      <c r="A4" s="89" t="s">
        <v>24</v>
      </c>
      <c r="B4" s="89"/>
      <c r="C4" s="89"/>
      <c r="D4" s="89"/>
      <c r="E4" s="89"/>
      <c r="F4" s="89"/>
    </row>
    <row r="7" spans="1:6">
      <c r="A7" s="5"/>
      <c r="B7" s="5"/>
      <c r="C7" s="1" t="s">
        <v>25</v>
      </c>
      <c r="D7" s="1" t="s">
        <v>26</v>
      </c>
    </row>
    <row r="8" spans="1:6">
      <c r="A8" s="44" t="s">
        <v>24</v>
      </c>
      <c r="B8" s="4" t="s">
        <v>27</v>
      </c>
      <c r="C8" s="4" t="s">
        <v>28</v>
      </c>
      <c r="D8" s="4" t="s">
        <v>29</v>
      </c>
    </row>
    <row r="9" spans="1:6">
      <c r="A9" s="45" t="s">
        <v>30</v>
      </c>
      <c r="B9" s="46">
        <v>0.11749999999999999</v>
      </c>
      <c r="C9" s="46">
        <v>0.55000000000000004</v>
      </c>
      <c r="D9" s="46">
        <f>ROUND(+B9*C9,4)</f>
        <v>6.4600000000000005E-2</v>
      </c>
    </row>
    <row r="10" spans="1:6">
      <c r="A10" s="45" t="s">
        <v>31</v>
      </c>
      <c r="B10" s="24">
        <v>5.9586679681719427E-2</v>
      </c>
      <c r="C10" s="46">
        <v>0.45</v>
      </c>
      <c r="D10" s="46">
        <f>ROUND(+B10*C10,4)</f>
        <v>2.6800000000000001E-2</v>
      </c>
    </row>
    <row r="11" spans="1:6">
      <c r="A11" s="45"/>
      <c r="B11" s="20"/>
      <c r="C11" s="46"/>
      <c r="D11" s="46"/>
    </row>
    <row r="12" spans="1:6" ht="15" thickBot="1">
      <c r="A12" s="40" t="s">
        <v>32</v>
      </c>
      <c r="B12" s="3"/>
      <c r="C12" s="47">
        <v>1</v>
      </c>
      <c r="D12" s="47">
        <f>ROUND(SUM(D9:D10),4)</f>
        <v>9.1399999999999995E-2</v>
      </c>
    </row>
    <row r="13" spans="1:6" ht="15" thickTop="1"/>
    <row r="15" spans="1:6">
      <c r="A15" s="45" t="s">
        <v>83</v>
      </c>
      <c r="B15" s="48"/>
    </row>
  </sheetData>
  <mergeCells count="4">
    <mergeCell ref="A1:F1"/>
    <mergeCell ref="A2:F2"/>
    <mergeCell ref="A3:F3"/>
    <mergeCell ref="A4:F4"/>
  </mergeCells>
  <phoneticPr fontId="14" type="noConversion"/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EEC82-F79F-46AB-832F-2F0E4CEE0F61}">
  <dimension ref="A1:K18"/>
  <sheetViews>
    <sheetView workbookViewId="0">
      <selection activeCell="G16" sqref="G16"/>
    </sheetView>
  </sheetViews>
  <sheetFormatPr defaultRowHeight="14.4"/>
  <cols>
    <col min="1" max="1" width="25.6640625" bestFit="1" customWidth="1"/>
    <col min="2" max="2" width="9.33203125" bestFit="1" customWidth="1"/>
    <col min="3" max="3" width="9.21875" bestFit="1" customWidth="1"/>
    <col min="4" max="4" width="13" bestFit="1" customWidth="1"/>
    <col min="5" max="5" width="14.6640625" bestFit="1" customWidth="1"/>
    <col min="6" max="6" width="11.109375" bestFit="1" customWidth="1"/>
    <col min="7" max="7" width="12.6640625" bestFit="1" customWidth="1"/>
    <col min="8" max="8" width="5.44140625" customWidth="1"/>
    <col min="9" max="9" width="4.77734375" bestFit="1" customWidth="1"/>
    <col min="15" max="15" width="48.88671875" bestFit="1" customWidth="1"/>
    <col min="16" max="16" width="8.77734375" customWidth="1"/>
    <col min="17" max="17" width="19.77734375" bestFit="1" customWidth="1"/>
  </cols>
  <sheetData>
    <row r="1" spans="1:11">
      <c r="A1" s="87" t="s">
        <v>14</v>
      </c>
      <c r="B1" s="87"/>
      <c r="C1" s="87"/>
      <c r="D1" s="87"/>
      <c r="E1" s="87"/>
      <c r="F1" s="87"/>
      <c r="G1" s="87"/>
      <c r="H1" s="87"/>
      <c r="I1" s="87"/>
      <c r="J1" s="87"/>
      <c r="K1" s="87"/>
    </row>
    <row r="2" spans="1:11">
      <c r="A2" s="87" t="str">
        <f>'Revenue Requirement'!A2</f>
        <v>Clean Energy Transistion Plan Project 1</v>
      </c>
      <c r="B2" s="87"/>
      <c r="C2" s="87"/>
      <c r="D2" s="87"/>
      <c r="E2" s="87"/>
      <c r="F2" s="87"/>
      <c r="G2" s="87"/>
      <c r="H2" s="87"/>
      <c r="I2" s="87"/>
      <c r="J2" s="87"/>
      <c r="K2" s="87"/>
    </row>
    <row r="3" spans="1:11">
      <c r="A3" s="87" t="str">
        <f>'Revenue Requirement'!A3</f>
        <v>Distributed Energy Resources Aggregation &amp; Control Platform</v>
      </c>
      <c r="B3" s="87"/>
      <c r="C3" s="87"/>
      <c r="D3" s="87"/>
      <c r="E3" s="87"/>
      <c r="F3" s="87"/>
      <c r="G3" s="87"/>
      <c r="H3" s="87"/>
      <c r="I3" s="87"/>
      <c r="J3" s="87"/>
      <c r="K3" s="87"/>
    </row>
    <row r="4" spans="1:11">
      <c r="A4" s="89" t="s">
        <v>11</v>
      </c>
      <c r="B4" s="89"/>
      <c r="C4" s="89"/>
      <c r="D4" s="89"/>
      <c r="E4" s="89"/>
      <c r="F4" s="89"/>
      <c r="G4" s="89"/>
      <c r="H4" s="89"/>
      <c r="I4" s="89"/>
      <c r="J4" s="89"/>
      <c r="K4" s="89"/>
    </row>
    <row r="6" spans="1:11">
      <c r="A6" s="52"/>
      <c r="B6" s="83" t="s">
        <v>78</v>
      </c>
      <c r="C6" s="83" t="s">
        <v>79</v>
      </c>
      <c r="D6" s="83" t="s">
        <v>80</v>
      </c>
      <c r="E6" s="83" t="s">
        <v>75</v>
      </c>
      <c r="F6" s="83" t="s">
        <v>76</v>
      </c>
      <c r="G6" s="83" t="s">
        <v>32</v>
      </c>
    </row>
    <row r="7" spans="1:11">
      <c r="A7" t="str">
        <f>'Revenue Requirement'!B10</f>
        <v>DER Aggregation and Control</v>
      </c>
      <c r="B7" s="85">
        <v>45170</v>
      </c>
      <c r="C7" s="85">
        <v>45657</v>
      </c>
      <c r="D7" s="86">
        <f>DATEDIF(B7, C7, "M")+1</f>
        <v>16</v>
      </c>
      <c r="E7" s="49">
        <f>85847.5+533050+120800</f>
        <v>739697.5</v>
      </c>
      <c r="F7" s="49">
        <f>(E7*'Cost of Capital'!$D$12)/12*D7</f>
        <v>90144.468666666653</v>
      </c>
      <c r="G7" s="49">
        <f>SUM(E7:F7)</f>
        <v>829841.96866666665</v>
      </c>
      <c r="H7" s="49"/>
    </row>
    <row r="8" spans="1:11">
      <c r="A8" t="str">
        <f>A7</f>
        <v>DER Aggregation and Control</v>
      </c>
      <c r="B8" s="85">
        <v>45292</v>
      </c>
      <c r="C8" s="85">
        <v>45657</v>
      </c>
      <c r="D8" s="86">
        <f>DATEDIF(B8, C8, "M")+1</f>
        <v>12</v>
      </c>
      <c r="E8" s="49">
        <f>268818.27+45550</f>
        <v>314368.27</v>
      </c>
      <c r="F8" s="49">
        <f>(E8*'Cost of Capital'!$D$12)/12*D8</f>
        <v>28733.259877999997</v>
      </c>
      <c r="G8" s="49">
        <f>SUM(E8:F8)</f>
        <v>343101.52987800003</v>
      </c>
      <c r="H8" s="49"/>
    </row>
    <row r="9" spans="1:11" ht="15" thickBot="1">
      <c r="E9" s="50">
        <f>SUM(E7:E8)</f>
        <v>1054065.77</v>
      </c>
      <c r="F9" s="50">
        <f>SUM(F7:F8)</f>
        <v>118877.72854466665</v>
      </c>
      <c r="G9" s="50">
        <f>SUM(G7:G8)</f>
        <v>1172943.4985446667</v>
      </c>
      <c r="H9" s="31"/>
    </row>
    <row r="10" spans="1:11">
      <c r="E10" s="49"/>
    </row>
    <row r="11" spans="1:11">
      <c r="E11" s="31"/>
    </row>
    <row r="13" spans="1:11">
      <c r="A13" t="s">
        <v>34</v>
      </c>
      <c r="E13" s="49"/>
      <c r="F13" s="49"/>
      <c r="G13" s="49">
        <f>G9</f>
        <v>1172943.4985446667</v>
      </c>
      <c r="H13" s="49"/>
    </row>
    <row r="16" spans="1:11">
      <c r="A16" t="s">
        <v>35</v>
      </c>
      <c r="E16" s="51"/>
      <c r="F16" s="51"/>
      <c r="G16" s="51">
        <v>4.8325709896829203E-2</v>
      </c>
      <c r="H16" s="51"/>
    </row>
    <row r="18" spans="1:8">
      <c r="A18" t="s">
        <v>36</v>
      </c>
      <c r="E18" s="31"/>
      <c r="F18" s="31"/>
      <c r="G18" s="31">
        <f>G13*G16</f>
        <v>56683.32723604147</v>
      </c>
      <c r="H18" s="31"/>
    </row>
  </sheetData>
  <mergeCells count="4">
    <mergeCell ref="A1:K1"/>
    <mergeCell ref="A2:K2"/>
    <mergeCell ref="A3:K3"/>
    <mergeCell ref="A4:K4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2FA43-B904-4BA4-9127-85407810A438}">
  <dimension ref="A1:L47"/>
  <sheetViews>
    <sheetView workbookViewId="0">
      <selection activeCell="Q8" sqref="Q8"/>
    </sheetView>
  </sheetViews>
  <sheetFormatPr defaultRowHeight="14.4" outlineLevelCol="1"/>
  <cols>
    <col min="1" max="1" width="48.5546875" customWidth="1"/>
    <col min="2" max="2" width="9.5546875" bestFit="1" customWidth="1"/>
    <col min="3" max="3" width="13.21875" bestFit="1" customWidth="1"/>
    <col min="4" max="4" width="13.21875" hidden="1" customWidth="1" outlineLevel="1"/>
    <col min="5" max="5" width="24.77734375" hidden="1" customWidth="1" outlineLevel="1"/>
    <col min="6" max="6" width="5" hidden="1" customWidth="1" outlineLevel="1"/>
    <col min="7" max="7" width="7.109375" hidden="1" customWidth="1" outlineLevel="1"/>
    <col min="8" max="8" width="11.5546875" hidden="1" customWidth="1" outlineLevel="1"/>
    <col min="9" max="9" width="9.5546875" hidden="1" customWidth="1" outlineLevel="1"/>
    <col min="10" max="11" width="0" hidden="1" customWidth="1" outlineLevel="1"/>
    <col min="12" max="12" width="8.88671875" collapsed="1"/>
  </cols>
  <sheetData>
    <row r="1" spans="1:9">
      <c r="A1" s="87" t="s">
        <v>14</v>
      </c>
      <c r="B1" s="87"/>
      <c r="C1" s="87"/>
    </row>
    <row r="2" spans="1:9">
      <c r="A2" s="87" t="str">
        <f>'Revenue Requirement'!A2</f>
        <v>Clean Energy Transistion Plan Project 1</v>
      </c>
      <c r="B2" s="87"/>
      <c r="C2" s="87"/>
    </row>
    <row r="3" spans="1:9">
      <c r="A3" s="87" t="str">
        <f>'Revenue Requirement'!A3</f>
        <v>Distributed Energy Resources Aggregation &amp; Control Platform</v>
      </c>
      <c r="B3" s="87"/>
      <c r="C3" s="87"/>
    </row>
    <row r="4" spans="1:9">
      <c r="A4" s="89" t="s">
        <v>16</v>
      </c>
      <c r="B4" s="89"/>
      <c r="C4" s="89"/>
    </row>
    <row r="7" spans="1:9" s="55" customFormat="1" thickBot="1">
      <c r="A7" s="53" t="s">
        <v>37</v>
      </c>
      <c r="B7" s="54" t="s">
        <v>38</v>
      </c>
      <c r="E7" s="60" t="s">
        <v>50</v>
      </c>
      <c r="F7" s="58" t="s">
        <v>51</v>
      </c>
      <c r="G7" s="58" t="s">
        <v>27</v>
      </c>
      <c r="H7" s="59" t="s">
        <v>34</v>
      </c>
      <c r="I7" s="58">
        <v>2024</v>
      </c>
    </row>
    <row r="8" spans="1:9" s="55" customFormat="1" ht="13.8">
      <c r="A8" s="56"/>
      <c r="E8" s="60"/>
    </row>
    <row r="9" spans="1:9" s="55" customFormat="1" ht="13.8">
      <c r="A9" s="56"/>
      <c r="E9" s="60"/>
      <c r="F9" s="60">
        <v>2023</v>
      </c>
      <c r="G9" s="61">
        <v>0.125</v>
      </c>
      <c r="H9" s="62"/>
      <c r="I9" s="62"/>
    </row>
    <row r="10" spans="1:9" s="55" customFormat="1" ht="13.8">
      <c r="A10" s="56"/>
      <c r="E10" s="60" t="s">
        <v>74</v>
      </c>
      <c r="F10" s="60">
        <v>2024</v>
      </c>
      <c r="G10" s="61">
        <v>0.125</v>
      </c>
      <c r="I10" s="62"/>
    </row>
    <row r="11" spans="1:9" s="55" customFormat="1" ht="13.8">
      <c r="A11" s="56" t="s">
        <v>39</v>
      </c>
      <c r="B11" s="62">
        <f>'Income Statement'!B12-'Income Statement'!B17</f>
        <v>110745.44208013116</v>
      </c>
      <c r="E11" s="60"/>
      <c r="F11" s="60">
        <v>2025</v>
      </c>
      <c r="G11" s="61">
        <v>0.125</v>
      </c>
      <c r="H11" s="62">
        <f>Depreciation!G9</f>
        <v>1172943.4985446667</v>
      </c>
      <c r="I11" s="62">
        <f>$H$11*$G$11</f>
        <v>146617.93731808334</v>
      </c>
    </row>
    <row r="12" spans="1:9" s="55" customFormat="1" ht="13.8">
      <c r="A12" s="56"/>
      <c r="B12" s="62"/>
      <c r="E12" s="60"/>
      <c r="F12" s="60">
        <v>2026</v>
      </c>
      <c r="G12" s="61">
        <v>0.125</v>
      </c>
      <c r="H12" s="62"/>
      <c r="I12" s="62"/>
    </row>
    <row r="13" spans="1:9" s="55" customFormat="1" ht="13.8">
      <c r="A13" s="57" t="s">
        <v>40</v>
      </c>
      <c r="B13" s="62"/>
      <c r="E13" s="60"/>
      <c r="F13" s="60">
        <v>2027</v>
      </c>
      <c r="G13" s="61">
        <v>0.125</v>
      </c>
      <c r="H13" s="62"/>
      <c r="I13" s="62"/>
    </row>
    <row r="14" spans="1:9" s="55" customFormat="1" ht="13.8">
      <c r="A14" s="56" t="s">
        <v>11</v>
      </c>
      <c r="B14" s="62">
        <f>Depreciation!G18</f>
        <v>56683.32723604147</v>
      </c>
      <c r="F14" s="60">
        <v>2028</v>
      </c>
      <c r="G14" s="61">
        <v>0.125</v>
      </c>
      <c r="H14" s="62"/>
      <c r="I14" s="62"/>
    </row>
    <row r="15" spans="1:9" s="55" customFormat="1" ht="13.8">
      <c r="A15" s="56"/>
      <c r="B15" s="62"/>
      <c r="E15" s="60"/>
      <c r="F15" s="60"/>
      <c r="G15" s="61"/>
      <c r="H15" s="63"/>
      <c r="I15" s="62"/>
    </row>
    <row r="16" spans="1:9" s="55" customFormat="1" thickBot="1">
      <c r="A16" s="57" t="s">
        <v>41</v>
      </c>
      <c r="B16" s="62"/>
      <c r="H16" s="67">
        <f t="shared" ref="H16:I16" si="0">SUM(H9:H15)</f>
        <v>1172943.4985446667</v>
      </c>
      <c r="I16" s="67">
        <f t="shared" si="0"/>
        <v>146617.93731808334</v>
      </c>
    </row>
    <row r="17" spans="1:9" s="55" customFormat="1" ht="13.8">
      <c r="A17" s="56" t="s">
        <v>43</v>
      </c>
      <c r="B17" s="62">
        <f>-I11</f>
        <v>-146617.93731808334</v>
      </c>
    </row>
    <row r="18" spans="1:9" s="55" customFormat="1" ht="13.8">
      <c r="A18" s="56" t="s">
        <v>44</v>
      </c>
      <c r="B18" s="62">
        <f>-I24</f>
        <v>-73308.968659041668</v>
      </c>
    </row>
    <row r="19" spans="1:9" s="55" customFormat="1" ht="13.8">
      <c r="A19" s="56" t="s">
        <v>45</v>
      </c>
      <c r="B19" s="62"/>
    </row>
    <row r="20" spans="1:9" s="55" customFormat="1" thickBot="1">
      <c r="A20" s="53" t="s">
        <v>46</v>
      </c>
      <c r="B20" s="62">
        <f>SUM(B11:B19)</f>
        <v>-52498.136660952368</v>
      </c>
      <c r="E20" s="60" t="s">
        <v>52</v>
      </c>
      <c r="F20" s="58" t="s">
        <v>51</v>
      </c>
      <c r="G20" s="58" t="s">
        <v>27</v>
      </c>
      <c r="H20" s="59" t="s">
        <v>53</v>
      </c>
      <c r="I20" s="58">
        <v>2024</v>
      </c>
    </row>
    <row r="21" spans="1:9" s="55" customFormat="1" ht="13.8">
      <c r="A21" s="56"/>
      <c r="B21" s="62"/>
      <c r="E21" s="60"/>
    </row>
    <row r="22" spans="1:9" s="55" customFormat="1" ht="13.8">
      <c r="A22" s="57" t="s">
        <v>48</v>
      </c>
      <c r="B22" s="62"/>
      <c r="E22" s="60"/>
      <c r="F22" s="60">
        <v>2023</v>
      </c>
      <c r="G22" s="61">
        <v>0.125</v>
      </c>
      <c r="H22" s="62"/>
      <c r="I22" s="62"/>
    </row>
    <row r="23" spans="1:9" s="55" customFormat="1" ht="13.8">
      <c r="A23" s="56"/>
      <c r="B23" s="62"/>
      <c r="E23" s="60" t="s">
        <v>74</v>
      </c>
      <c r="F23" s="60">
        <v>2024</v>
      </c>
      <c r="G23" s="61">
        <v>0.125</v>
      </c>
      <c r="I23" s="62"/>
    </row>
    <row r="24" spans="1:9" s="55" customFormat="1" ht="13.8">
      <c r="E24" s="60"/>
      <c r="F24" s="60">
        <v>2025</v>
      </c>
      <c r="G24" s="61">
        <v>0.125</v>
      </c>
      <c r="H24" s="62">
        <f>H11*50%</f>
        <v>586471.74927233334</v>
      </c>
      <c r="I24" s="62">
        <f>$H$24*$G$24</f>
        <v>73308.968659041668</v>
      </c>
    </row>
    <row r="25" spans="1:9" s="55" customFormat="1" ht="13.8">
      <c r="A25" s="56" t="s">
        <v>47</v>
      </c>
      <c r="E25" s="60"/>
      <c r="F25" s="60">
        <v>2026</v>
      </c>
      <c r="G25" s="61">
        <v>0.125</v>
      </c>
      <c r="H25" s="62"/>
      <c r="I25" s="62"/>
    </row>
    <row r="26" spans="1:9" s="55" customFormat="1" ht="13.8">
      <c r="E26" s="60"/>
      <c r="F26" s="60">
        <v>2027</v>
      </c>
      <c r="G26" s="61">
        <v>0.125</v>
      </c>
      <c r="H26" s="62"/>
      <c r="I26" s="62"/>
    </row>
    <row r="27" spans="1:9" s="55" customFormat="1" ht="13.8">
      <c r="A27" s="56" t="s">
        <v>49</v>
      </c>
      <c r="B27" s="62">
        <f>IF(SUM(B20)&lt;0,0,SUM(B20))</f>
        <v>0</v>
      </c>
    </row>
    <row r="28" spans="1:9" s="55" customFormat="1" thickBot="1">
      <c r="H28" s="67">
        <f t="shared" ref="H28:I28" si="1">SUM(H22:H27)</f>
        <v>586471.74927233334</v>
      </c>
      <c r="I28" s="67">
        <f t="shared" si="1"/>
        <v>73308.968659041668</v>
      </c>
    </row>
    <row r="29" spans="1:9" s="55" customFormat="1" ht="13.2"/>
    <row r="30" spans="1:9" s="55" customFormat="1" ht="13.2"/>
    <row r="31" spans="1:9" s="55" customFormat="1">
      <c r="A31" s="66" t="s">
        <v>59</v>
      </c>
      <c r="B31"/>
    </row>
    <row r="32" spans="1:9" s="55" customFormat="1" ht="15" thickBot="1">
      <c r="B32" s="58">
        <v>2024</v>
      </c>
      <c r="I32" s="84">
        <v>2.3358770255401826E-2</v>
      </c>
    </row>
    <row r="33" spans="1:9" s="55" customFormat="1" thickBot="1">
      <c r="A33" s="55" t="s">
        <v>54</v>
      </c>
      <c r="B33" s="62">
        <f>I11</f>
        <v>146617.93731808334</v>
      </c>
      <c r="E33" s="60" t="s">
        <v>71</v>
      </c>
      <c r="F33" s="58" t="s">
        <v>51</v>
      </c>
      <c r="G33" s="58" t="s">
        <v>27</v>
      </c>
      <c r="H33" s="59" t="s">
        <v>53</v>
      </c>
      <c r="I33" s="58">
        <v>2024</v>
      </c>
    </row>
    <row r="34" spans="1:9" s="55" customFormat="1" ht="13.8">
      <c r="E34" s="60"/>
    </row>
    <row r="35" spans="1:9" s="55" customFormat="1" ht="13.8">
      <c r="A35" s="55" t="s">
        <v>55</v>
      </c>
      <c r="B35" s="62">
        <f>-Depreciation!$G$18</f>
        <v>-56683.32723604147</v>
      </c>
      <c r="E35" s="60"/>
      <c r="F35" s="60">
        <v>2023</v>
      </c>
      <c r="G35" s="61"/>
      <c r="H35" s="62"/>
      <c r="I35" s="62"/>
    </row>
    <row r="36" spans="1:9" s="55" customFormat="1" ht="13.8">
      <c r="B36" s="64">
        <f>SUM(B33:B35)</f>
        <v>89934.610082041865</v>
      </c>
      <c r="E36" s="60" t="s">
        <v>74</v>
      </c>
      <c r="F36" s="60">
        <v>2024</v>
      </c>
      <c r="G36" s="61">
        <f>Depreciation!$G$16</f>
        <v>4.8325709896829203E-2</v>
      </c>
      <c r="H36" s="62"/>
      <c r="I36" s="62">
        <f>I28*I32</f>
        <v>1712.4073565670071</v>
      </c>
    </row>
    <row r="37" spans="1:9" s="55" customFormat="1" ht="13.8">
      <c r="E37" s="60"/>
      <c r="F37" s="60">
        <v>2025</v>
      </c>
      <c r="G37" s="61"/>
      <c r="H37" s="62"/>
      <c r="I37" s="62"/>
    </row>
    <row r="38" spans="1:9" s="55" customFormat="1">
      <c r="A38" s="55" t="s">
        <v>84</v>
      </c>
      <c r="B38" s="65">
        <v>2.3358770255401826E-2</v>
      </c>
      <c r="E38" s="60"/>
      <c r="F38" s="60">
        <v>2026</v>
      </c>
      <c r="G38" s="61"/>
      <c r="H38" s="62"/>
      <c r="I38" s="62"/>
    </row>
    <row r="39" spans="1:9" s="55" customFormat="1" ht="13.8">
      <c r="E39" s="60"/>
      <c r="F39" s="60">
        <v>2027</v>
      </c>
      <c r="G39" s="61"/>
      <c r="H39" s="62"/>
      <c r="I39" s="62"/>
    </row>
    <row r="40" spans="1:9" s="55" customFormat="1" ht="13.8">
      <c r="A40" s="55" t="s">
        <v>56</v>
      </c>
      <c r="B40" s="55">
        <f>B36*B38</f>
        <v>2100.7618949155608</v>
      </c>
      <c r="H40" s="81">
        <f>SUM(H35:H39)</f>
        <v>0</v>
      </c>
      <c r="I40" s="81">
        <f t="shared" ref="I40" si="2">SUM(I35:I39)</f>
        <v>1712.4073565670071</v>
      </c>
    </row>
    <row r="41" spans="1:9" s="55" customFormat="1" ht="13.2">
      <c r="A41" s="55" t="s">
        <v>57</v>
      </c>
      <c r="B41" s="55">
        <f>+B40</f>
        <v>2100.7618949155608</v>
      </c>
    </row>
    <row r="42" spans="1:9" s="55" customFormat="1" ht="13.8">
      <c r="I42" s="62">
        <f>-(I40*$G$36)</f>
        <v>-82.753301138653356</v>
      </c>
    </row>
    <row r="43" spans="1:9" s="55" customFormat="1" thickBot="1">
      <c r="A43" s="56"/>
      <c r="B43" s="62"/>
      <c r="E43" s="55" t="s">
        <v>77</v>
      </c>
      <c r="H43" s="67">
        <f>SUM(H42:H42)</f>
        <v>0</v>
      </c>
      <c r="I43" s="67">
        <f>SUM(I42:I42)</f>
        <v>-82.753301138653356</v>
      </c>
    </row>
    <row r="44" spans="1:9" s="55" customFormat="1" ht="13.2"/>
    <row r="45" spans="1:9" s="55" customFormat="1" ht="13.8">
      <c r="A45" s="56"/>
      <c r="E45" s="55" t="s">
        <v>58</v>
      </c>
      <c r="I45" s="62">
        <f>I40+I43</f>
        <v>1629.6540554283538</v>
      </c>
    </row>
    <row r="46" spans="1:9">
      <c r="E46" s="55"/>
      <c r="F46" s="55"/>
      <c r="G46" s="55"/>
      <c r="H46" s="55"/>
      <c r="I46" s="55"/>
    </row>
    <row r="47" spans="1:9">
      <c r="E47" s="55"/>
      <c r="F47" s="55"/>
      <c r="G47" s="55"/>
      <c r="H47" s="55"/>
      <c r="I47" s="55"/>
    </row>
  </sheetData>
  <mergeCells count="4">
    <mergeCell ref="A1:C1"/>
    <mergeCell ref="A2:C2"/>
    <mergeCell ref="A3:C3"/>
    <mergeCell ref="A4:C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A3D844-27D8-47CA-B881-5B6D8CD31F35}">
  <dimension ref="A1:C38"/>
  <sheetViews>
    <sheetView workbookViewId="0">
      <selection activeCell="G21" sqref="G21"/>
    </sheetView>
  </sheetViews>
  <sheetFormatPr defaultRowHeight="14.4"/>
  <cols>
    <col min="1" max="1" width="38" customWidth="1"/>
    <col min="2" max="2" width="9.33203125" bestFit="1" customWidth="1"/>
  </cols>
  <sheetData>
    <row r="1" spans="1:3">
      <c r="A1" s="87" t="s">
        <v>14</v>
      </c>
      <c r="B1" s="87"/>
      <c r="C1" s="87"/>
    </row>
    <row r="2" spans="1:3">
      <c r="A2" s="87" t="str">
        <f>'Revenue Requirement'!A2</f>
        <v>Clean Energy Transistion Plan Project 1</v>
      </c>
      <c r="B2" s="87"/>
      <c r="C2" s="87"/>
    </row>
    <row r="3" spans="1:3">
      <c r="A3" s="87" t="str">
        <f>'Revenue Requirement'!A3</f>
        <v>Distributed Energy Resources Aggregation &amp; Control Platform</v>
      </c>
      <c r="B3" s="87"/>
      <c r="C3" s="87"/>
    </row>
    <row r="4" spans="1:3">
      <c r="A4" s="89" t="s">
        <v>72</v>
      </c>
      <c r="B4" s="89"/>
      <c r="C4" s="89"/>
    </row>
    <row r="7" spans="1:3">
      <c r="A7" s="68"/>
      <c r="B7" s="69" t="s">
        <v>60</v>
      </c>
    </row>
    <row r="8" spans="1:3">
      <c r="A8" s="70"/>
      <c r="B8" s="54" t="s">
        <v>38</v>
      </c>
    </row>
    <row r="9" spans="1:3">
      <c r="A9" s="5" t="s">
        <v>61</v>
      </c>
    </row>
    <row r="10" spans="1:3">
      <c r="A10" s="3" t="s">
        <v>62</v>
      </c>
      <c r="B10" s="12">
        <f>'Revenue Requirement'!$D$38</f>
        <v>167428.76931617263</v>
      </c>
    </row>
    <row r="11" spans="1:3">
      <c r="A11" s="3"/>
      <c r="B11" s="71"/>
    </row>
    <row r="12" spans="1:3">
      <c r="A12" s="3"/>
      <c r="B12" s="72">
        <f t="shared" ref="B12" si="0">SUM(B10:B11)</f>
        <v>167428.76931617263</v>
      </c>
    </row>
    <row r="13" spans="1:3">
      <c r="A13" s="3"/>
    </row>
    <row r="14" spans="1:3">
      <c r="A14" s="3"/>
    </row>
    <row r="15" spans="1:3">
      <c r="A15" s="5" t="s">
        <v>63</v>
      </c>
    </row>
    <row r="16" spans="1:3">
      <c r="A16" s="3" t="s">
        <v>11</v>
      </c>
      <c r="B16" s="12">
        <f>Depreciation!G18</f>
        <v>56683.32723604147</v>
      </c>
    </row>
    <row r="17" spans="1:2">
      <c r="A17" s="3"/>
      <c r="B17" s="72">
        <f>SUM(B16:B16)</f>
        <v>56683.32723604147</v>
      </c>
    </row>
    <row r="18" spans="1:2">
      <c r="A18" s="3"/>
    </row>
    <row r="19" spans="1:2">
      <c r="A19" s="3"/>
      <c r="B19" s="73"/>
    </row>
    <row r="20" spans="1:2">
      <c r="A20" s="5" t="s">
        <v>16</v>
      </c>
      <c r="B20" s="12"/>
    </row>
    <row r="21" spans="1:2">
      <c r="A21" s="3" t="s">
        <v>64</v>
      </c>
      <c r="B21" s="12">
        <f>Taxes!B27</f>
        <v>0</v>
      </c>
    </row>
    <row r="22" spans="1:2">
      <c r="A22" s="3" t="s">
        <v>65</v>
      </c>
      <c r="B22" s="12">
        <f>Taxes!B40</f>
        <v>2100.7618949155608</v>
      </c>
    </row>
    <row r="23" spans="1:2">
      <c r="A23" s="3" t="s">
        <v>66</v>
      </c>
      <c r="B23" s="12">
        <v>0</v>
      </c>
    </row>
    <row r="24" spans="1:2">
      <c r="A24" s="3" t="s">
        <v>42</v>
      </c>
      <c r="B24" s="12">
        <f>Taxes!I45</f>
        <v>1629.6540554283538</v>
      </c>
    </row>
    <row r="25" spans="1:2">
      <c r="A25" s="3"/>
      <c r="B25" s="74">
        <f t="shared" ref="B25" si="1">SUM(B21:B24)</f>
        <v>3730.4159503439146</v>
      </c>
    </row>
    <row r="26" spans="1:2">
      <c r="A26" s="3"/>
    </row>
    <row r="27" spans="1:2" ht="15" thickBot="1">
      <c r="A27" s="5" t="s">
        <v>67</v>
      </c>
      <c r="B27" s="75">
        <f t="shared" ref="B27" si="2">B25+B17</f>
        <v>60413.743186385385</v>
      </c>
    </row>
    <row r="28" spans="1:2">
      <c r="A28" s="3"/>
    </row>
    <row r="30" spans="1:2">
      <c r="A30" s="3" t="s">
        <v>68</v>
      </c>
      <c r="B30" s="76">
        <f>B12-B17-B25</f>
        <v>107015.02612978725</v>
      </c>
    </row>
    <row r="32" spans="1:2">
      <c r="A32" s="3" t="s">
        <v>69</v>
      </c>
      <c r="B32" s="12"/>
    </row>
    <row r="33" spans="1:2">
      <c r="A33" s="3"/>
      <c r="B33" s="12"/>
    </row>
    <row r="34" spans="1:2" ht="15" thickBot="1">
      <c r="A34" s="5" t="s">
        <v>70</v>
      </c>
      <c r="B34" s="77">
        <f t="shared" ref="B34" si="3">B30-B32</f>
        <v>107015.02612978725</v>
      </c>
    </row>
    <row r="35" spans="1:2" ht="15" thickTop="1"/>
    <row r="38" spans="1:2">
      <c r="A38" s="3"/>
      <c r="B38" s="12"/>
    </row>
  </sheetData>
  <mergeCells count="4">
    <mergeCell ref="A1:C1"/>
    <mergeCell ref="A2:C2"/>
    <mergeCell ref="A3:C3"/>
    <mergeCell ref="A4:C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Revenue Requirement</vt:lpstr>
      <vt:lpstr>Cost of Capital</vt:lpstr>
      <vt:lpstr>Depreciation</vt:lpstr>
      <vt:lpstr>Taxes</vt:lpstr>
      <vt:lpstr>Income Statement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 Carter</dc:creator>
  <cp:lastModifiedBy>Adrian Carter</cp:lastModifiedBy>
  <dcterms:created xsi:type="dcterms:W3CDTF">2023-07-12T20:05:39Z</dcterms:created>
  <dcterms:modified xsi:type="dcterms:W3CDTF">2023-10-04T18:28:16Z</dcterms:modified>
</cp:coreProperties>
</file>